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G47" i="5"/>
  <c r="E14" i="6" s="1"/>
  <c r="F47" i="5"/>
  <c r="D14" i="6" s="1"/>
  <c r="F40" i="6"/>
  <c r="F37" i="6" s="1"/>
  <c r="G12" i="6"/>
  <c r="E77" i="1"/>
  <c r="G13" i="6"/>
  <c r="E78" i="1" s="1"/>
  <c r="G11" i="6"/>
  <c r="E76" i="1" s="1"/>
  <c r="D42" i="6"/>
  <c r="E37" i="6"/>
  <c r="I44" i="5" l="1"/>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<sst xmlns="http://schemas.openxmlformats.org/spreadsheetml/2006/main" count="289" uniqueCount="204">
  <si>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</si>
  <si>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</si>
  <si>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</si>
  <si>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</si>
  <si>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</si>
  <si>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</si>
  <si>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</si>
  <si>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</si>
  <si>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</si>
  <si>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</si>
  <si>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</si>
  <si>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</si>
  <si>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</si>
  <si>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</si>
  <si>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</si>
  <si>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</si>
  <si>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</si>
  <si>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</si>
  <si>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</si>
  <si>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</si>
  <si>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</si>
  <si>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</si>
  <si>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</si>
  <si>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</si>
  <si>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</si>
  <si>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</si>
  <si>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</si>
  <si>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</si>
  <si>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</si>
  <si>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</si>
  <si>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</si>
  <si>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</si>
  <si>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</si>
  <si>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</si>
  <si>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</si>
  <si>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</si>
  <si>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</si>
  <si>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</si>
  <si>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</si>
  <si>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</si>
  <si>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</si>
  <si>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</si>
  <si>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</si>
  <si>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</si>
  <si>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</si>
  <si>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</si>
  <si>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</si>
  <si>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</si>
  <si>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</si>
  <si>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</si>
  <si>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</si>
  <si>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</si>
  <si>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</si>
  <si>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</si>
  <si>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</si>
  <si>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</si>
  <si>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</si>
  <si>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</si>
  <si>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</si>
  <si>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</si>
  <si>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</si>
  <si>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</si>
  <si>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</si>
  <si>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</si>
  <si>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</si>
  <si>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</si>
  <si>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</si>
  <si>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</si>
  <si>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</si>
  <si>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</si>
  <si>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</si>
  <si>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</si>
  <si>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</si>
  <si>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</si>
  <si>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</si>
  <si>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</si>
  <si>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</si>
  <si>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</si>
  <si>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</si>
  <si>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</si>
  <si>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</si>
  <si>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</si>
  <si>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</si>
  <si>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</si>
  <si>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</si>
  <si>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</si>
  <si>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</si>
  <si>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</si>
  <si>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</si>
  <si>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</si>
  <si>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</si>
  <si>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</si>
  <si>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</si>
  <si>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</si>
  <si>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</si>
  <si>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</si>
  <si>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</si>
  <si>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</si>
  <si>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</si>
  <si>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</si>
  <si>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</si>
  <si>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</si>
  <si>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</si>
  <si>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</si>
  <si>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</si>
  <si>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</si>
  <si>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</si>
  <si>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</si>
  <si>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</si>
  <si>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</si>
  <si>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</si>
  <si>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</si>
  <si>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</si>
  <si>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</si>
  <si>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</si>
  <si>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</si>
  <si>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</si>
  <si>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</si>
  <si>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</si>
  <si>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</si>
  <si>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</si>
  <si>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</si>
  <si>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</si>
  <si>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</si>
  <si>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</si>
  <si>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</si>
  <si>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</si>
  <si>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</si>
  <si>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</si>
  <si>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</si>
  <si>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</si>
  <si>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</si>
  <si>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</si>
  <si>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</si>
  <si>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</si>
  <si>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</si>
  <si>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</si>
  <si>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</si>
  <si>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</si>
  <si>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</si>
  <si>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</si>
  <si>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</si>
  <si>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</si>
  <si>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</si>
  <si>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</si>
  <si>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</si>
  <si>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</si>
  <si>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</si>
  <si>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</si>
  <si>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</si>
  <si>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</si>
  <si>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</si>
  <si>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</si>
  <si>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</si>
  <si>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</si>
  <si>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</si>
  <si>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</si>
  <si>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</si>
  <si>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</si>
  <si>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</si>
  <si>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</si>
  <si>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</si>
  <si>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</si>
  <si>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</si>
  <si>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</si>
  <si>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</si>
  <si>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</si>
  <si>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</si>
  <si>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</si>
  <si>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</si>
  <si>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</si>
  <si>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</si>
  <si>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</si>
  <si>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</si>
  <si>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</si>
  <si>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</si>
  <si>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</si>
  <si>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</si>
  <si>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</si>
  <si>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</si>
  <si>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</si>
  <si>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</si>
  <si>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</si>
  <si>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</si>
  <si>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</si>
  <si>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</si>
  <si>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</si>
  <si>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</si>
  <si>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</si>
  <si>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</si>
  <si>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</si>
  <si>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Sauerlach</t>
  </si>
  <si>
    <t>Stand: 09.02.2023</t>
  </si>
  <si>
    <t>Die Gemeinde Sauerlach setzt sich folgende Ziele:</t>
  </si>
  <si>
    <t>Altkirchen</t>
  </si>
  <si>
    <t>Arget</t>
  </si>
  <si>
    <t>Brand</t>
  </si>
  <si>
    <t>Grafing</t>
  </si>
  <si>
    <t>Großeichenhausen</t>
  </si>
  <si>
    <t>Gumpertshausen</t>
  </si>
  <si>
    <t>Kleineichenhausen</t>
  </si>
  <si>
    <t>Lanzenhaar</t>
  </si>
  <si>
    <t>Lochhofen</t>
  </si>
  <si>
    <t>Sauerlach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</si>
</sst>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10104.709999999999</c:v>
                </c:pt>
                <c:pt idx="1">
                  <c:v>8387.0376427906631</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27747.53</c:v>
                </c:pt>
                <c:pt idx="1">
                  <c:v>36336.557834848289</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984.21</c:v>
                </c:pt>
                <c:pt idx="1">
                  <c:v>683.67896526995889</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13025.502439024389</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670750888"/>
        <c:axId val="670751672"/>
      </c:barChart>
      <c:catAx>
        <c:axId val="670750888"/>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70751672"/>
        <c:crosses val="autoZero"/>
        <c:auto val="1"/>
        <c:lblAlgn val="ctr"/>
        <c:lblOffset val="100"/>
        <c:noMultiLvlLbl val="0"/>
      </c:catAx>
      <c:valAx>
        <c:axId val="670751672"/>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670750888"/>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28020</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13629.330000000002</c:v>
                </c:pt>
                <c:pt idx="1">
                  <c:v>58432.7768819333</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545698656"/>
        <c:axId val="415695328"/>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41649.33</c:v>
                </c:pt>
                <c:pt idx="1">
                  <c:v>58432.7768819333</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415696504"/>
        <c:axId val="415698072"/>
      </c:scatterChart>
      <c:valAx>
        <c:axId val="415696504"/>
        <c:scaling>
          <c:orientation val="minMax"/>
        </c:scaling>
        <c:delete val="1"/>
        <c:axPos val="t"/>
        <c:numFmt formatCode="#,##0" sourceLinked="1"/>
        <c:majorTickMark val="out"/>
        <c:minorTickMark val="none"/>
        <c:tickLblPos val="nextTo"/>
        <c:crossAx val="415698072"/>
        <c:crosses val="max"/>
        <c:crossBetween val="midCat"/>
      </c:valAx>
      <c:valAx>
        <c:axId val="415698072"/>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415696504"/>
        <c:crosses val="autoZero"/>
        <c:crossBetween val="midCat"/>
      </c:valAx>
      <c:valAx>
        <c:axId val="415695328"/>
        <c:scaling>
          <c:orientation val="minMax"/>
        </c:scaling>
        <c:delete val="0"/>
        <c:axPos val="b"/>
        <c:numFmt formatCode="#,###" sourceLinked="0"/>
        <c:majorTickMark val="out"/>
        <c:minorTickMark val="none"/>
        <c:tickLblPos val="nextTo"/>
        <c:txPr>
          <a:bodyPr/>
          <a:lstStyle/>
          <a:p>
            <a:pPr algn="ctr">
              <a:defRPr sz="800"/>
            </a:pPr>
            <a:endParaRPr lang="de-DE"/>
          </a:p>
        </c:txPr>
        <c:crossAx val="545698656"/>
        <c:crosses val="autoZero"/>
        <c:crossBetween val="between"/>
      </c:valAx>
      <c:catAx>
        <c:axId val="545698656"/>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15695328"/>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41651.919999999998</c:v>
                </c:pt>
                <c:pt idx="1">
                  <c:v>38095.499999999993</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19108</c:v>
                </c:pt>
                <c:pt idx="1">
                  <c:v>30364.668941668409</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1528</c:v>
                </c:pt>
                <c:pt idx="1">
                  <c:v>1633.4650516636634</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545705712"/>
        <c:axId val="547562592"/>
      </c:barChart>
      <c:catAx>
        <c:axId val="545705712"/>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547562592"/>
        <c:crosses val="autoZero"/>
        <c:auto val="1"/>
        <c:lblAlgn val="ctr"/>
        <c:lblOffset val="100"/>
        <c:noMultiLvlLbl val="0"/>
      </c:catAx>
      <c:valAx>
        <c:axId val="5475625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545705712"/>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34221</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28067</c:v>
                </c:pt>
                <c:pt idx="1">
                  <c:v>70093.633993332071</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547600288"/>
        <c:axId val="417726280"/>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62288</c:v>
                </c:pt>
                <c:pt idx="1">
                  <c:v>70093.633993332071</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547558280"/>
        <c:axId val="417724712"/>
      </c:scatterChart>
      <c:valAx>
        <c:axId val="547558280"/>
        <c:scaling>
          <c:orientation val="minMax"/>
        </c:scaling>
        <c:delete val="1"/>
        <c:axPos val="t"/>
        <c:numFmt formatCode="#,##0" sourceLinked="1"/>
        <c:majorTickMark val="out"/>
        <c:minorTickMark val="none"/>
        <c:tickLblPos val="nextTo"/>
        <c:crossAx val="417724712"/>
        <c:crosses val="max"/>
        <c:crossBetween val="midCat"/>
      </c:valAx>
      <c:valAx>
        <c:axId val="417724712"/>
        <c:scaling>
          <c:orientation val="minMax"/>
          <c:max val="2044"/>
          <c:min val="2010"/>
        </c:scaling>
        <c:delete val="1"/>
        <c:axPos val="l"/>
        <c:numFmt formatCode="#,##0" sourceLinked="0"/>
        <c:majorTickMark val="out"/>
        <c:minorTickMark val="none"/>
        <c:tickLblPos val="nextTo"/>
        <c:crossAx val="547558280"/>
        <c:crosses val="autoZero"/>
        <c:crossBetween val="midCat"/>
      </c:valAx>
      <c:valAx>
        <c:axId val="417726280"/>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47600288"/>
        <c:crosses val="autoZero"/>
        <c:crossBetween val="between"/>
      </c:valAx>
      <c:catAx>
        <c:axId val="547600288"/>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417726280"/>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11686.555376386659</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16822.472158399698</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8688.3902439024369</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549343584"/>
        <c:axId val="549346720"/>
      </c:barChart>
      <c:catAx>
        <c:axId val="549343584"/>
        <c:scaling>
          <c:orientation val="minMax"/>
        </c:scaling>
        <c:delete val="1"/>
        <c:axPos val="l"/>
        <c:numFmt formatCode="General" sourceLinked="1"/>
        <c:majorTickMark val="none"/>
        <c:minorTickMark val="none"/>
        <c:tickLblPos val="nextTo"/>
        <c:crossAx val="549346720"/>
        <c:crosses val="autoZero"/>
        <c:auto val="1"/>
        <c:lblAlgn val="ctr"/>
        <c:lblOffset val="100"/>
        <c:noMultiLvlLbl val="0"/>
      </c:catAx>
      <c:valAx>
        <c:axId val="549346720"/>
        <c:scaling>
          <c:orientation val="minMax"/>
        </c:scaling>
        <c:delete val="1"/>
        <c:axPos val="b"/>
        <c:numFmt formatCode="#,##0\ &quot;t/a&quot;" sourceLinked="1"/>
        <c:majorTickMark val="none"/>
        <c:minorTickMark val="none"/>
        <c:tickLblPos val="nextTo"/>
        <c:crossAx val="54934358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58.433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40 %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22 %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828000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26257.643369999998</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186480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c r="G31" s="212"/>
      <c r="H31" s="206"/>
      <c r="I31" s="206"/>
      <c r="J31" s="207"/>
      <c r="K31" s="207"/>
      <c r="L31" s="162"/>
    </row>
    <row r="32" spans="1:22" ht="23.25" customHeight="1" x14ac:dyDescent="0.2">
      <c r="A32" s="14"/>
      <c r="B32" s="209" t="s">
        <v>32</v>
      </c>
      <c r="C32" s="209"/>
      <c r="D32" s="159"/>
      <c r="E32" s="159"/>
      <c r="F32" s="210">
        <f>SUM(F27:F31)</f>
        <v>0</v>
      </c>
      <c r="G32" s="210"/>
      <c r="H32" s="224">
        <f>SUM(H27:H31)</f>
        <v>1040737.6433699999</v>
      </c>
      <c r="I32" s="224"/>
      <c r="J32" s="221">
        <f>IF(H32&gt;0,F32/H32,0)</f>
        <v>0</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10104.709999999999</v>
      </c>
      <c r="E76" s="184">
        <f>LOOKUP('Basis-Annahmen'!E5,'Nachfrage &amp; Erzeugung'!D9:G9,'Nachfrage &amp; Erzeugung'!D11:G11)</f>
        <v>8387.0376427906631</v>
      </c>
      <c r="F76" s="175"/>
      <c r="G76" s="175"/>
      <c r="H76" s="175"/>
      <c r="I76" s="175"/>
      <c r="J76" s="154"/>
      <c r="K76" s="172"/>
      <c r="L76" s="172"/>
    </row>
    <row r="77" spans="1:12" x14ac:dyDescent="0.2">
      <c r="A77" s="154"/>
      <c r="B77" s="154"/>
      <c r="C77" s="176" t="str">
        <f>'Nachfrage &amp; Erzeugung'!B12</f>
        <v>GHD / Industrie</v>
      </c>
      <c r="D77" s="184">
        <f>'Nachfrage &amp; Erzeugung'!C12</f>
        <v>27747.53</v>
      </c>
      <c r="E77" s="184">
        <f>LOOKUP('Basis-Annahmen'!E5,'Nachfrage &amp; Erzeugung'!D9:G9,'Nachfrage &amp; Erzeugung'!D12:G12)</f>
        <v>36336.557834848289</v>
      </c>
      <c r="F77" s="175"/>
      <c r="G77" s="176" t="s">
        <v>103</v>
      </c>
      <c r="H77" s="184">
        <f>'Nachfrage &amp; Erzeugung'!C21</f>
        <v>28020</v>
      </c>
      <c r="I77" s="184">
        <f>F31</f>
        <v>0</v>
      </c>
      <c r="J77" s="154"/>
      <c r="K77" s="172"/>
      <c r="L77" s="172"/>
    </row>
    <row r="78" spans="1:12" x14ac:dyDescent="0.2">
      <c r="A78" s="154"/>
      <c r="B78" s="154"/>
      <c r="C78" s="176" t="str">
        <f>'Nachfrage &amp; Erzeugung'!B13</f>
        <v>Kommunale Einrichtungen</v>
      </c>
      <c r="D78" s="184">
        <f>'Nachfrage &amp; Erzeugung'!C13</f>
        <v>984.21</v>
      </c>
      <c r="E78" s="184">
        <f>LOOKUP('Basis-Annahmen'!E5,'Nachfrage &amp; Erzeugung'!D9:G9,'Nachfrage &amp; Erzeugung'!D13:G13)</f>
        <v>683.67896526995889</v>
      </c>
      <c r="F78" s="175"/>
      <c r="G78" s="176" t="str">
        <f>'Nachfrage &amp; Erzeugung'!B29</f>
        <v>Nicht aus lokalen EE gedeckter Strombedarf</v>
      </c>
      <c r="H78" s="184">
        <f>'Nachfrage &amp; Erzeugung'!C29</f>
        <v>13629.330000000002</v>
      </c>
      <c r="I78" s="184">
        <f>MAX(0,E82-SUM(I79:I82)-I77)</f>
        <v>58432.7768819333</v>
      </c>
      <c r="J78" s="154"/>
      <c r="K78" s="172"/>
      <c r="L78" s="172"/>
    </row>
    <row r="79" spans="1:12" x14ac:dyDescent="0.2">
      <c r="A79" s="154"/>
      <c r="B79" s="154"/>
      <c r="C79" s="176" t="str">
        <f>'Nachfrage &amp; Erzeugung'!B14</f>
        <v>Mobilität</v>
      </c>
      <c r="D79" s="184"/>
      <c r="E79" s="184">
        <f>LOOKUP('Basis-Annahmen'!E5,'Nachfrage &amp; Erzeugung'!D9:G9,'Nachfrage &amp; Erzeugung'!D14:G14)</f>
        <v>13025.502439024389</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41649.33</v>
      </c>
      <c r="E82" s="184">
        <f>LOOKUP('Basis-Annahmen'!E5,'Nachfrage &amp; Erzeugung'!D9:G9,'Nachfrage &amp; Erzeugung'!D10:G10)</f>
        <v>58432.7768819333</v>
      </c>
      <c r="F82" s="175"/>
      <c r="G82" s="176" t="s">
        <v>24</v>
      </c>
      <c r="H82" s="184">
        <v>0</v>
      </c>
      <c r="I82" s="184">
        <f>F30</f>
        <v>0</v>
      </c>
      <c r="J82" s="154"/>
      <c r="K82" s="172"/>
      <c r="L82" s="172"/>
    </row>
    <row r="83" spans="1:12" x14ac:dyDescent="0.2">
      <c r="A83" s="154"/>
      <c r="B83" s="154"/>
      <c r="C83" s="176" t="s">
        <v>100</v>
      </c>
      <c r="D83" s="175"/>
      <c r="E83" s="186">
        <f>(E82-D82)/D82</f>
        <v>0.402970393087555</v>
      </c>
      <c r="F83" s="175"/>
      <c r="G83" s="176"/>
      <c r="H83" s="184"/>
      <c r="I83" s="184"/>
      <c r="J83" s="154"/>
      <c r="K83" s="172"/>
      <c r="L83" s="172"/>
    </row>
    <row r="84" spans="1:12" x14ac:dyDescent="0.2">
      <c r="A84" s="154"/>
      <c r="B84" s="154"/>
      <c r="C84" s="176" t="s">
        <v>101</v>
      </c>
      <c r="D84" s="175"/>
      <c r="E84" s="186">
        <f>E79/E82</f>
        <v>0.22291431511706428</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15" zoomScaleNormal="100" zoomScalePageLayoutView="115"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70.094 MWh/a</v>
      </c>
      <c r="J13" s="201"/>
      <c r="K13" s="201"/>
      <c r="L13" s="10"/>
    </row>
    <row r="14" spans="1:12" ht="18" customHeight="1" x14ac:dyDescent="0.2">
      <c r="A14" s="10"/>
      <c r="B14" s="10"/>
      <c r="D14" s="200" t="s">
        <v>185</v>
      </c>
      <c r="E14" s="200"/>
      <c r="F14" s="200"/>
      <c r="G14" s="200"/>
      <c r="H14" s="200"/>
      <c r="I14" s="201" t="str">
        <f>""&amp;FIXED(D82,0,FALSE)&amp;" MWh/a"</f>
        <v>62.288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13 %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70093.633993332071</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70093.633993332071</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70093.633993332071</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41651.919999999998</v>
      </c>
      <c r="E78" s="190">
        <f>LOOKUP('Basis-Annahmen'!E5,'Nachfrage &amp; Erzeugung'!D36:G36,'Nachfrage &amp; Erzeugung'!D38:G38)</f>
        <v>38095.499999999993</v>
      </c>
      <c r="F78" s="175"/>
      <c r="G78" s="175"/>
      <c r="H78" s="175"/>
      <c r="I78" s="175"/>
      <c r="J78" s="154"/>
      <c r="K78" s="154"/>
      <c r="L78" s="154"/>
    </row>
    <row r="79" spans="1:12" x14ac:dyDescent="0.2">
      <c r="A79" s="172"/>
      <c r="B79" s="172"/>
      <c r="C79" s="176" t="str">
        <f>'Nachfrage &amp; Erzeugung'!B39</f>
        <v>GHD / Industrie</v>
      </c>
      <c r="D79" s="190">
        <f>'Nachfrage &amp; Erzeugung'!C39</f>
        <v>19108</v>
      </c>
      <c r="E79" s="190">
        <f>LOOKUP('Basis-Annahmen'!E5,'Nachfrage &amp; Erzeugung'!D36:G36,'Nachfrage &amp; Erzeugung'!D39:G39)</f>
        <v>30364.668941668409</v>
      </c>
      <c r="F79" s="175"/>
      <c r="G79" s="176" t="s">
        <v>56</v>
      </c>
      <c r="H79" s="190">
        <f>'Nachfrage &amp; Erzeugung'!C46</f>
        <v>34221</v>
      </c>
      <c r="I79" s="190">
        <f>I40</f>
        <v>0</v>
      </c>
      <c r="J79" s="154"/>
      <c r="K79" s="154"/>
      <c r="L79" s="154"/>
    </row>
    <row r="80" spans="1:12" x14ac:dyDescent="0.2">
      <c r="A80" s="172"/>
      <c r="B80" s="172"/>
      <c r="C80" s="176" t="str">
        <f>'Nachfrage &amp; Erzeugung'!B40</f>
        <v>Kommunale Einrichtungen</v>
      </c>
      <c r="D80" s="190">
        <f>'Nachfrage &amp; Erzeugung'!C40</f>
        <v>1528</v>
      </c>
      <c r="E80" s="190">
        <f>LOOKUP('Basis-Annahmen'!E5,'Nachfrage &amp; Erzeugung'!D36:G36,'Nachfrage &amp; Erzeugung'!D40:G40)</f>
        <v>1633.4650516636634</v>
      </c>
      <c r="F80" s="175"/>
      <c r="G80" s="176" t="str">
        <f>'Nachfrage &amp; Erzeugung'!B47</f>
        <v>Nicht erneuerbare Wärmeerzeugung</v>
      </c>
      <c r="H80" s="190">
        <f>MAX(0,H82-H79)</f>
        <v>28067</v>
      </c>
      <c r="I80" s="190">
        <f>MAX(0,I82-I79)</f>
        <v>70093.633993332071</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62288</v>
      </c>
      <c r="E82" s="190">
        <f>LOOKUP('Basis-Annahmen'!E5,'Nachfrage &amp; Erzeugung'!D36:G36,'Nachfrage &amp; Erzeugung'!D37:G37)</f>
        <v>70093.633993332071</v>
      </c>
      <c r="F82" s="175"/>
      <c r="G82" s="176" t="s">
        <v>83</v>
      </c>
      <c r="H82" s="190">
        <f>'Nachfrage &amp; Erzeugung'!C37</f>
        <v>62288</v>
      </c>
      <c r="I82" s="190">
        <f>LOOKUP('Basis-Annahmen'!E5,'Nachfrage &amp; Erzeugung'!D36:G36,'Nachfrage &amp; Erzeugung'!D37:G37)</f>
        <v>70093.633993332071</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0.12531521309613522</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8800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58432.7768819333</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11686.555376386659</v>
      </c>
      <c r="I12" s="265"/>
      <c r="J12" s="265"/>
      <c r="K12" s="177"/>
    </row>
    <row r="13" spans="1:14" ht="24.6" customHeight="1" x14ac:dyDescent="0.2">
      <c r="A13" s="14"/>
      <c r="B13" s="177"/>
      <c r="C13" s="259" t="s">
        <v>164</v>
      </c>
      <c r="D13" s="259"/>
      <c r="E13" s="259"/>
      <c r="F13" s="259"/>
      <c r="G13" s="259"/>
      <c r="H13" s="266">
        <f>H12/H5</f>
        <v>1.328017656407575</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70093.633993332071</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16822.472158399698</v>
      </c>
      <c r="I20" s="265"/>
      <c r="J20" s="265"/>
      <c r="K20" s="177"/>
    </row>
    <row r="21" spans="1:11" ht="24.6" customHeight="1" x14ac:dyDescent="0.2">
      <c r="A21" s="14"/>
      <c r="B21" s="177"/>
      <c r="C21" s="259" t="s">
        <v>164</v>
      </c>
      <c r="D21" s="259"/>
      <c r="E21" s="259"/>
      <c r="F21" s="259"/>
      <c r="G21" s="259"/>
      <c r="H21" s="266">
        <f>H20/H5</f>
        <v>1.9116445634545112</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2.2999999999999998</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8688.3902439024369</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0.98731707317073147</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37197.417778688789</v>
      </c>
      <c r="I31" s="265"/>
      <c r="J31" s="265"/>
      <c r="K31" s="177"/>
    </row>
    <row r="32" spans="1:11" ht="24.6" customHeight="1" x14ac:dyDescent="0.2">
      <c r="A32" s="14"/>
      <c r="B32" s="177"/>
      <c r="C32" s="259" t="s">
        <v>164</v>
      </c>
      <c r="D32" s="259"/>
      <c r="E32" s="259"/>
      <c r="F32" s="259"/>
      <c r="G32" s="259"/>
      <c r="H32" s="266">
        <f>H27+H21+H13</f>
        <v>4.2269792930328176</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11686.555376386659</v>
      </c>
      <c r="E56" s="154"/>
      <c r="F56" s="154"/>
      <c r="G56" s="154"/>
      <c r="H56" s="154"/>
      <c r="I56" s="154"/>
      <c r="J56" s="154"/>
      <c r="K56" s="154"/>
    </row>
    <row r="57" spans="1:12" x14ac:dyDescent="0.2">
      <c r="C57" s="154" t="s">
        <v>72</v>
      </c>
      <c r="D57" s="183">
        <f>H20</f>
        <v>16822.472158399698</v>
      </c>
      <c r="E57" s="154"/>
      <c r="F57" s="154"/>
      <c r="G57" s="154"/>
      <c r="H57" s="154"/>
      <c r="I57" s="154"/>
      <c r="J57" s="154"/>
      <c r="K57" s="154"/>
    </row>
    <row r="58" spans="1:12" x14ac:dyDescent="0.2">
      <c r="C58" s="154" t="s">
        <v>170</v>
      </c>
      <c r="D58" s="183">
        <f>H26</f>
        <v>8688.3902439024369</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8.4532107370606548E-3</v>
      </c>
      <c r="F14" s="48">
        <v>0.05</v>
      </c>
      <c r="G14" s="48">
        <v>0.3</v>
      </c>
      <c r="H14" s="48">
        <v>0.6</v>
      </c>
      <c r="I14" s="52">
        <v>1</v>
      </c>
      <c r="J14" s="14"/>
    </row>
    <row r="15" spans="1:26" ht="30" customHeight="1" x14ac:dyDescent="0.2">
      <c r="A15" s="14"/>
      <c r="B15" s="281" t="s">
        <v>50</v>
      </c>
      <c r="C15" s="282"/>
      <c r="D15" s="282"/>
      <c r="E15" s="53">
        <f>E47/E45</f>
        <v>2.4173216669138367E-2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8200</v>
      </c>
      <c r="F34" s="69">
        <v>8400</v>
      </c>
      <c r="G34" s="69">
        <v>8600</v>
      </c>
      <c r="H34" s="69">
        <v>8800</v>
      </c>
      <c r="I34" s="70">
        <v>9000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2.4390243902439025E-2</v>
      </c>
      <c r="G36" s="67">
        <f>(G34-F34)/F34</f>
        <v>2.3809523809523808E-2</v>
      </c>
      <c r="H36" s="67">
        <f>(H34-G34)/G34</f>
        <v>2.3255813953488372E-2</v>
      </c>
      <c r="I36" s="68">
        <f>(I34-H34)/H34</f>
        <v>2.2727272727272728E-2</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49</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0.82231707317073166</v>
      </c>
      <c r="F44" s="73">
        <f>E44*(1+(F13*(F43-E43)))</f>
        <v>0.82231707317073166</v>
      </c>
      <c r="G44" s="73">
        <f t="shared" ref="G44:I44" si="0">F44*(1+(G13*(G43-F43)))</f>
        <v>0.82231707317073166</v>
      </c>
      <c r="H44" s="73">
        <f t="shared" si="0"/>
        <v>0.82231707317073166</v>
      </c>
      <c r="I44" s="188">
        <f t="shared" si="0"/>
        <v>0.82231707317073166</v>
      </c>
      <c r="J44" s="14"/>
    </row>
    <row r="45" spans="1:10" ht="19.5" customHeight="1" x14ac:dyDescent="0.2">
      <c r="A45" s="14"/>
      <c r="B45" s="271" t="s">
        <v>4</v>
      </c>
      <c r="C45" s="272"/>
      <c r="D45" s="272"/>
      <c r="E45" s="69">
        <v>6743</v>
      </c>
      <c r="F45" s="36">
        <f>F44*F34</f>
        <v>6907.4634146341459</v>
      </c>
      <c r="G45" s="36">
        <f t="shared" ref="G45:I45" si="1">G44*G34</f>
        <v>7071.9268292682918</v>
      </c>
      <c r="H45" s="36">
        <f t="shared" si="1"/>
        <v>7236.3902439024387</v>
      </c>
      <c r="I45" s="74">
        <f t="shared" si="1"/>
        <v>7400.8536585365846</v>
      </c>
      <c r="J45" s="14"/>
    </row>
    <row r="46" spans="1:10" ht="19.5" customHeight="1" x14ac:dyDescent="0.2">
      <c r="A46" s="14"/>
      <c r="B46" s="271" t="s">
        <v>2</v>
      </c>
      <c r="C46" s="272"/>
      <c r="D46" s="272"/>
      <c r="E46" s="69">
        <v>57</v>
      </c>
      <c r="F46" s="36">
        <f>F$45*F$14</f>
        <v>345.37317073170732</v>
      </c>
      <c r="G46" s="36">
        <f>G$45*G$14</f>
        <v>2121.5780487804873</v>
      </c>
      <c r="H46" s="36">
        <f>H$45*H$14</f>
        <v>4341.8341463414627</v>
      </c>
      <c r="I46" s="74">
        <f>I$45*I$14</f>
        <v>7400.8536585365846</v>
      </c>
      <c r="J46" s="14"/>
    </row>
    <row r="47" spans="1:10" ht="19.5" customHeight="1" x14ac:dyDescent="0.2">
      <c r="A47" s="14"/>
      <c r="B47" s="269" t="s">
        <v>3</v>
      </c>
      <c r="C47" s="270"/>
      <c r="D47" s="270"/>
      <c r="E47" s="75">
        <v>163</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41649.33</v>
      </c>
      <c r="D10" s="94">
        <f>D11+D12+D13+D14+D15</f>
        <v>40251.046500387609</v>
      </c>
      <c r="E10" s="94">
        <f>E11+E12+E13+E14+D15</f>
        <v>48463.792125637112</v>
      </c>
      <c r="F10" s="94">
        <f>F11+F12+F13+F14+D15</f>
        <v>58432.7768819333</v>
      </c>
      <c r="G10" s="95">
        <f>G11+G12+G13+G14+D15</f>
        <v>71388.480447980895</v>
      </c>
      <c r="H10" s="14"/>
    </row>
    <row r="11" spans="1:8" ht="19.5" customHeight="1" x14ac:dyDescent="0.2">
      <c r="B11" s="88" t="s">
        <v>6</v>
      </c>
      <c r="C11" s="96">
        <v>10104.709999999999</v>
      </c>
      <c r="D11" s="97">
        <f>C11/'Basis-Annahmen'!E34*((1-'Basis-Annahmen'!F19)^(D9-C9))*'Basis-Annahmen'!F34</f>
        <v>9311.9985817767647</v>
      </c>
      <c r="E11" s="97">
        <f>D11/'Basis-Annahmen'!F34*((1-'Basis-Annahmen'!G19)^5)*'Basis-Annahmen'!G34</f>
        <v>8839.8158682436824</v>
      </c>
      <c r="F11" s="97">
        <f>E11/'Basis-Annahmen'!G34*((1-'Basis-Annahmen'!H19)^5)*'Basis-Annahmen'!H34</f>
        <v>8387.0376427906631</v>
      </c>
      <c r="G11" s="98">
        <f>F11/'Basis-Annahmen'!H34*((1-'Basis-Annahmen'!I19)^5)*'Basis-Annahmen'!I34</f>
        <v>7953.3406108198587</v>
      </c>
      <c r="H11" s="14"/>
    </row>
    <row r="12" spans="1:8" ht="19.5" customHeight="1" x14ac:dyDescent="0.2">
      <c r="B12" s="88" t="s">
        <v>104</v>
      </c>
      <c r="C12" s="96">
        <v>27747.53</v>
      </c>
      <c r="D12" s="97">
        <f>((1-'Basis-Annahmen'!F20)^(D9-C9))*((1+'Basis-Annahmen'!F9)^(D9-C9))*C12</f>
        <v>29107.703610753688</v>
      </c>
      <c r="E12" s="97">
        <f>((1-'Basis-Annahmen'!G20)^5)*((1+'Basis-Annahmen'!G9)^5)*D12</f>
        <v>32521.896557423795</v>
      </c>
      <c r="F12" s="97">
        <f>((1-'Basis-Annahmen'!H20)^5)*((1+'Basis-Annahmen'!H9)^5)*E12</f>
        <v>36336.557834848289</v>
      </c>
      <c r="G12" s="98">
        <f>((1-'Basis-Annahmen'!I20)^5)*((1+'Basis-Annahmen'!I9)^5)*F12</f>
        <v>40598.66044263271</v>
      </c>
      <c r="H12" s="14"/>
    </row>
    <row r="13" spans="1:8" ht="19.5" customHeight="1" x14ac:dyDescent="0.2">
      <c r="B13" s="88" t="s">
        <v>7</v>
      </c>
      <c r="C13" s="96">
        <v>984.21</v>
      </c>
      <c r="D13" s="97">
        <f>C13*((1-'Basis-Annahmen'!F20)^(D9-C9))</f>
        <v>795.22479566203594</v>
      </c>
      <c r="E13" s="97">
        <f>D13*((1-'Basis-Annahmen'!G20)^5)</f>
        <v>737.34555362817184</v>
      </c>
      <c r="F13" s="97">
        <f>E13*((1-'Basis-Annahmen'!H20)^5)</f>
        <v>683.67896526995889</v>
      </c>
      <c r="G13" s="98">
        <f>F13*((1-'Basis-Annahmen'!I20)^5)</f>
        <v>633.91841891856086</v>
      </c>
      <c r="H13" s="14"/>
    </row>
    <row r="14" spans="1:8" ht="19.5" customHeight="1" x14ac:dyDescent="0.2">
      <c r="B14" s="88" t="s">
        <v>8</v>
      </c>
      <c r="C14" s="96"/>
      <c r="D14" s="97">
        <f>'Basis-Annahmen'!F46*'Basis-Annahmen'!F51+'Basis-Annahmen'!F47*'Basis-Annahmen'!F52</f>
        <v>1036.1195121951218</v>
      </c>
      <c r="E14" s="97">
        <f>'Basis-Annahmen'!G46*'Basis-Annahmen'!G51+'Basis-Annahmen'!G47*'Basis-Annahmen'!G52</f>
        <v>6364.7341463414614</v>
      </c>
      <c r="F14" s="97">
        <f>'Basis-Annahmen'!H46*'Basis-Annahmen'!H51+'Basis-Annahmen'!H47*'Basis-Annahmen'!H52</f>
        <v>13025.502439024389</v>
      </c>
      <c r="G14" s="98">
        <f>'Basis-Annahmen'!I46*'Basis-Annahmen'!I51+'Basis-Annahmen'!I47*'Basis-Annahmen'!I52</f>
        <v>22202.560975609755</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-3.3572772950066491E-2</v>
      </c>
      <c r="E16" s="101">
        <f>(E10-$C$10)/$C$10</f>
        <v>0.16361516801439807</v>
      </c>
      <c r="F16" s="101">
        <f t="shared" ref="F16" si="0">(F10-$C$10)/$C$10</f>
        <v>0.402970393087555</v>
      </c>
      <c r="G16" s="102">
        <f>(G10-$C$10)/$C$10</f>
        <v>0.71403670714465017</v>
      </c>
      <c r="H16" s="14"/>
    </row>
    <row r="17" spans="1:10" ht="19.5" customHeight="1" x14ac:dyDescent="0.2">
      <c r="B17" s="89" t="s">
        <v>97</v>
      </c>
      <c r="C17" s="107"/>
      <c r="D17" s="104">
        <f>D14/D10</f>
        <v>2.5741430404427976E-2</v>
      </c>
      <c r="E17" s="104">
        <f>E14/E10</f>
        <v>0.13132967659323028</v>
      </c>
      <c r="F17" s="104">
        <f>F14/F10</f>
        <v>0.22291431511706428</v>
      </c>
      <c r="G17" s="105">
        <f>G14/G10</f>
        <v>0.31101041563404952</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28020</v>
      </c>
      <c r="G21" s="111"/>
    </row>
    <row r="22" spans="1:10" s="14" customFormat="1" ht="19.5" customHeight="1" x14ac:dyDescent="0.2">
      <c r="B22" s="110" t="s">
        <v>14</v>
      </c>
      <c r="C22" s="122"/>
      <c r="D22" s="112"/>
      <c r="E22" s="112"/>
      <c r="G22" s="82"/>
    </row>
    <row r="23" spans="1:10" s="14" customFormat="1" ht="19.5" customHeight="1" x14ac:dyDescent="0.2">
      <c r="B23" s="110" t="s">
        <v>15</v>
      </c>
      <c r="C23" s="122">
        <v>3750</v>
      </c>
      <c r="D23" s="112"/>
      <c r="E23" s="112"/>
      <c r="G23" s="82"/>
      <c r="J23" s="146"/>
    </row>
    <row r="24" spans="1:10" s="14" customFormat="1" ht="19.5" customHeight="1" x14ac:dyDescent="0.2">
      <c r="B24" s="110" t="s">
        <v>16</v>
      </c>
      <c r="C24" s="122">
        <v>21074</v>
      </c>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v>3196</v>
      </c>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13629.330000000002</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62288</v>
      </c>
      <c r="D37" s="94">
        <f>SUM(D38:D40)</f>
        <v>64956.777395451965</v>
      </c>
      <c r="E37" s="94">
        <f>SUM(E38:E40)</f>
        <v>67352.476399956038</v>
      </c>
      <c r="F37" s="94">
        <f t="shared" ref="F37:G37" si="1">SUM(F38:F40)</f>
        <v>70093.633993332071</v>
      </c>
      <c r="G37" s="95">
        <f t="shared" si="1"/>
        <v>73399.12754877907</v>
      </c>
      <c r="H37" s="14"/>
    </row>
    <row r="38" spans="1:8" ht="19.5" customHeight="1" x14ac:dyDescent="0.2">
      <c r="A38" s="14"/>
      <c r="B38" s="113" t="s">
        <v>6</v>
      </c>
      <c r="C38" s="96">
        <v>41651.919999999998</v>
      </c>
      <c r="D38" s="97">
        <f>C38-((('Basis-Annahmen'!$E$40*'Basis-Annahmen'!$E$34*Ausbauziel_Wärme!F$22*(D36-C36))*('Basis-Annahmen'!$E$30-'Basis-Annahmen'!F$29))/1000)+((IF('Basis-Annahmen'!F$34-'Basis-Annahmen'!E$34&lt;0,0,('Basis-Annahmen'!F$34-'Basis-Annahmen'!E$34)*('Basis-Annahmen'!$E$40*'Basis-Annahmen'!F28/1000))))</f>
        <v>40271.1</v>
      </c>
      <c r="E38" s="97">
        <f>D38-((('Basis-Annahmen'!$E$40*'Basis-Annahmen'!$E$34*Ausbauziel_Wärme!G$22*5)*('Basis-Annahmen'!$E$30-'Basis-Annahmen'!G$29))/1000)+((IF('Basis-Annahmen'!G$34-'Basis-Annahmen'!F$34&lt;0,0,('Basis-Annahmen'!G$34-'Basis-Annahmen'!F$34)*('Basis-Annahmen'!$E$40*'Basis-Annahmen'!G28/1000))))</f>
        <v>39256.799999999996</v>
      </c>
      <c r="F38" s="97">
        <f>E38-((('Basis-Annahmen'!$E$40*'Basis-Annahmen'!$E$34*Ausbauziel_Wärme!H$22*5)*('Basis-Annahmen'!$E$30-'Basis-Annahmen'!H$29))/1000)+((IF('Basis-Annahmen'!H$34-'Basis-Annahmen'!G$34&lt;0,0,('Basis-Annahmen'!H$34-'Basis-Annahmen'!G$34)*('Basis-Annahmen'!$E$40*'Basis-Annahmen'!H28/1000))))</f>
        <v>38095.499999999993</v>
      </c>
      <c r="G38" s="98">
        <f>F38-((('Basis-Annahmen'!$E$40*'Basis-Annahmen'!$E$34*Ausbauziel_Wärme!I$22*5)*('Basis-Annahmen'!$E$30-'Basis-Annahmen'!I$29))/1000)+((IF('Basis-Annahmen'!I$34-'Basis-Annahmen'!H$34&lt;0,0,('Basis-Annahmen'!I$34-'Basis-Annahmen'!H$34)*('Basis-Annahmen'!$E$40*'Basis-Annahmen'!I28/1000))))</f>
        <v>36934.19999999999</v>
      </c>
      <c r="H38" s="14"/>
    </row>
    <row r="39" spans="1:8" ht="19.5" customHeight="1" x14ac:dyDescent="0.2">
      <c r="A39" s="14"/>
      <c r="B39" s="113" t="s">
        <v>104</v>
      </c>
      <c r="C39" s="96">
        <v>19108</v>
      </c>
      <c r="D39" s="97">
        <f>C39*((1-'Basis-Annahmen'!F$24)^(D36-C36))*((1+'Basis-Annahmen'!F$9)^(D36-C36))</f>
        <v>23122.940911266556</v>
      </c>
      <c r="E39" s="97">
        <f>((1-'Basis-Annahmen'!G$24)^5)*((1+'Basis-Annahmen'!G$9)^5)*'Nachfrage &amp; Erzeugung'!D39</f>
        <v>26497.555467030717</v>
      </c>
      <c r="F39" s="97">
        <f>((1-'Basis-Annahmen'!H$24)^5)*((1+'Basis-Annahmen'!H$9)^5)*'Nachfrage &amp; Erzeugung'!E39</f>
        <v>30364.668941668409</v>
      </c>
      <c r="G39" s="98">
        <f>((1-'Basis-Annahmen'!I$24)^5)*((1+'Basis-Annahmen'!I$9)^5)*'Nachfrage &amp; Erzeugung'!F39</f>
        <v>34796.157746865611</v>
      </c>
      <c r="H39" s="14"/>
    </row>
    <row r="40" spans="1:8" ht="19.5" customHeight="1" x14ac:dyDescent="0.2">
      <c r="A40" s="14"/>
      <c r="B40" s="113" t="s">
        <v>7</v>
      </c>
      <c r="C40" s="96">
        <v>1528</v>
      </c>
      <c r="D40" s="97">
        <f>C40+(C40*'Basis-Annahmen'!F36)*((1-'Basis-Annahmen'!F24)^(D36-C36))</f>
        <v>1562.7364841854117</v>
      </c>
      <c r="E40" s="97">
        <f>D40+(D40*'Basis-Annahmen'!G36)*((1-'Basis-Annahmen'!G24)^5)</f>
        <v>1598.1209329253172</v>
      </c>
      <c r="F40" s="97">
        <f>E40+(E40*'Basis-Annahmen'!H36)*((1-'Basis-Annahmen'!H24)^5)</f>
        <v>1633.4650516636634</v>
      </c>
      <c r="G40" s="98">
        <f>F40+(F40*'Basis-Annahmen'!I36)*((1-'Basis-Annahmen'!I24)^5)</f>
        <v>1668.7698019134709</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4.2845771183084469E-2</v>
      </c>
      <c r="E42" s="104">
        <f>(E37-$C$37)/$C$37</f>
        <v>8.1307417158297562E-2</v>
      </c>
      <c r="F42" s="104">
        <f>(F37-$C$37)/$C$37</f>
        <v>0.12531521309613522</v>
      </c>
      <c r="G42" s="105">
        <f>(G37-$C$37)/$C$37</f>
        <v>0.17838311631099199</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34221</v>
      </c>
      <c r="D46" s="117"/>
      <c r="E46" s="100"/>
      <c r="F46" s="100"/>
      <c r="G46" s="82"/>
      <c r="H46" s="14"/>
    </row>
    <row r="47" spans="1:8" ht="19.5" customHeight="1" x14ac:dyDescent="0.2">
      <c r="A47" s="72"/>
      <c r="B47" s="124" t="s">
        <v>76</v>
      </c>
      <c r="C47" s="125">
        <f>IF(C37-C46&lt;0,0,C37-C46)</f>
        <v>28067</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5.371858256911527E-2</v>
      </c>
      <c r="D52" s="167">
        <v>0</v>
      </c>
      <c r="E52" s="167">
        <v>0</v>
      </c>
      <c r="F52" s="168">
        <f>1-D52</f>
        <v>1</v>
      </c>
      <c r="G52" s="95"/>
      <c r="H52" s="14"/>
    </row>
    <row r="53" spans="1:8" ht="19.5" customHeight="1" x14ac:dyDescent="0.2">
      <c r="A53" s="14"/>
      <c r="B53" s="166" t="s">
        <v>195</v>
      </c>
      <c r="C53" s="167">
        <v>0.1192530070986023</v>
      </c>
      <c r="D53" s="167">
        <v>0</v>
      </c>
      <c r="E53" s="167">
        <v>0</v>
      </c>
      <c r="F53" s="168">
        <f t="shared" ref="F53:F68" si="2">1-D53</f>
        <v>1</v>
      </c>
      <c r="G53" s="95"/>
      <c r="H53" s="14"/>
    </row>
    <row r="54" spans="1:8" ht="19.5" customHeight="1" x14ac:dyDescent="0.2">
      <c r="A54" s="14"/>
      <c r="B54" s="166" t="s">
        <v>196</v>
      </c>
      <c r="C54" s="167">
        <v>1.0457926180335489E-2</v>
      </c>
      <c r="D54" s="167">
        <v>0</v>
      </c>
      <c r="E54" s="167">
        <v>0</v>
      </c>
      <c r="F54" s="168">
        <f t="shared" si="2"/>
        <v>1</v>
      </c>
      <c r="G54" s="95"/>
      <c r="H54" s="14"/>
    </row>
    <row r="55" spans="1:8" ht="19.5" customHeight="1" x14ac:dyDescent="0.2">
      <c r="A55" s="14"/>
      <c r="B55" s="166" t="s">
        <v>197</v>
      </c>
      <c r="C55" s="167">
        <v>1.9224756164942878E-2</v>
      </c>
      <c r="D55" s="167">
        <v>0</v>
      </c>
      <c r="E55" s="167">
        <v>0</v>
      </c>
      <c r="F55" s="168">
        <f t="shared" si="2"/>
        <v>1</v>
      </c>
      <c r="G55" s="95"/>
      <c r="H55" s="14"/>
    </row>
    <row r="56" spans="1:8" ht="19.5" customHeight="1" x14ac:dyDescent="0.2">
      <c r="A56" s="14"/>
      <c r="B56" s="166" t="s">
        <v>198</v>
      </c>
      <c r="C56" s="167">
        <v>2.9765073917968708E-2</v>
      </c>
      <c r="D56" s="167">
        <v>0</v>
      </c>
      <c r="E56" s="167">
        <v>0</v>
      </c>
      <c r="F56" s="168">
        <f t="shared" si="2"/>
        <v>1</v>
      </c>
      <c r="G56" s="95"/>
      <c r="H56" s="14"/>
    </row>
    <row r="57" spans="1:8" ht="19.5" customHeight="1" x14ac:dyDescent="0.2">
      <c r="A57" s="14"/>
      <c r="B57" s="166" t="s">
        <v>199</v>
      </c>
      <c r="C57" s="167">
        <v>1.7726926609337355E-2</v>
      </c>
      <c r="D57" s="167">
        <v>0</v>
      </c>
      <c r="E57" s="167">
        <v>0</v>
      </c>
      <c r="F57" s="168">
        <f t="shared" si="2"/>
        <v>1</v>
      </c>
      <c r="G57" s="95"/>
      <c r="H57" s="14"/>
    </row>
    <row r="58" spans="1:8" ht="19.5" customHeight="1" x14ac:dyDescent="0.2">
      <c r="A58" s="14"/>
      <c r="B58" s="166" t="s">
        <v>200</v>
      </c>
      <c r="C58" s="167">
        <v>1.5535635523231846E-2</v>
      </c>
      <c r="D58" s="167">
        <v>0</v>
      </c>
      <c r="E58" s="167">
        <v>0</v>
      </c>
      <c r="F58" s="168">
        <f t="shared" si="2"/>
        <v>1</v>
      </c>
      <c r="G58" s="95"/>
      <c r="H58" s="14"/>
    </row>
    <row r="59" spans="1:8" ht="19.5" customHeight="1" x14ac:dyDescent="0.2">
      <c r="A59" s="14"/>
      <c r="B59" s="166" t="s">
        <v>201</v>
      </c>
      <c r="C59" s="167">
        <v>1.4664547609192457E-2</v>
      </c>
      <c r="D59" s="167">
        <v>0</v>
      </c>
      <c r="E59" s="167">
        <v>0</v>
      </c>
      <c r="F59" s="168">
        <f t="shared" si="2"/>
        <v>1</v>
      </c>
      <c r="G59" s="95"/>
      <c r="H59" s="14"/>
    </row>
    <row r="60" spans="1:8" ht="19.5" customHeight="1" x14ac:dyDescent="0.2">
      <c r="A60" s="14"/>
      <c r="B60" s="166" t="s">
        <v>202</v>
      </c>
      <c r="C60" s="167">
        <v>8.1459076079655399E-2</v>
      </c>
      <c r="D60" s="167">
        <v>0</v>
      </c>
      <c r="E60" s="167">
        <v>0</v>
      </c>
      <c r="F60" s="168">
        <f t="shared" si="2"/>
        <v>1</v>
      </c>
      <c r="G60" s="95"/>
      <c r="H60" s="14"/>
    </row>
    <row r="61" spans="1:8" ht="19.5" customHeight="1" x14ac:dyDescent="0.2">
      <c r="A61" s="14"/>
      <c r="B61" s="166" t="s">
        <v>203</v>
      </c>
      <c r="C61" s="167">
        <v>0.63819446824761827</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828000</v>
      </c>
      <c r="E9" s="131" t="s">
        <v>13</v>
      </c>
    </row>
    <row r="10" spans="1:6" s="130" customFormat="1" ht="19.5" customHeight="1" x14ac:dyDescent="0.25">
      <c r="B10" s="295" t="s">
        <v>129</v>
      </c>
      <c r="C10" s="296"/>
      <c r="D10" s="96">
        <v>92</v>
      </c>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26257.643369999998</v>
      </c>
      <c r="E14" s="133" t="s">
        <v>13</v>
      </c>
    </row>
    <row r="15" spans="1:6" s="130" customFormat="1" ht="19.5" customHeight="1" x14ac:dyDescent="0.25">
      <c r="B15" s="297" t="s">
        <v>151</v>
      </c>
      <c r="C15" s="298"/>
      <c r="D15" s="173">
        <v>175050.9558</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186480</v>
      </c>
      <c r="E21" s="133" t="s">
        <v>13</v>
      </c>
    </row>
    <row r="22" spans="2:6" s="132" customFormat="1" ht="19.5" customHeight="1" x14ac:dyDescent="0.25">
      <c r="B22" s="297" t="s">
        <v>150</v>
      </c>
      <c r="C22" s="298"/>
      <c r="D22" s="96">
        <v>259</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C866DF85-51DC-4890-B725-552665C23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